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10" activeTab="0"/>
  </bookViews>
  <sheets>
    <sheet name="Tabel" sheetId="1" r:id="rId1"/>
  </sheets>
  <definedNames/>
  <calcPr fullCalcOnLoad="1"/>
</workbook>
</file>

<file path=xl/sharedStrings.xml><?xml version="1.0" encoding="utf-8"?>
<sst xmlns="http://schemas.openxmlformats.org/spreadsheetml/2006/main" count="367" uniqueCount="232">
  <si>
    <t>Medicament</t>
  </si>
  <si>
    <t>Ampul</t>
  </si>
  <si>
    <t>Oplossing/opmerking</t>
  </si>
  <si>
    <t>Dosage/kg</t>
  </si>
  <si>
    <t>Dosage</t>
  </si>
  <si>
    <t>Adrenaline iv</t>
  </si>
  <si>
    <t>Eenheid</t>
  </si>
  <si>
    <t>mL</t>
  </si>
  <si>
    <t>ml</t>
  </si>
  <si>
    <t>Natriumbicarbonaat 8,4% iv</t>
  </si>
  <si>
    <t>Amiodarone (Cordarone) iv</t>
  </si>
  <si>
    <t>kg</t>
  </si>
  <si>
    <t>Cardioversie (synchroon)</t>
  </si>
  <si>
    <t>J</t>
  </si>
  <si>
    <t>Defibrillatie (asynchroon)</t>
  </si>
  <si>
    <t>Atropine iv</t>
  </si>
  <si>
    <t>Min</t>
  </si>
  <si>
    <t>Max</t>
  </si>
  <si>
    <t>Fentanyl iv</t>
  </si>
  <si>
    <t>Propofol (Diprivan) iv</t>
  </si>
  <si>
    <t>Rocuronium (Esmeron) iv</t>
  </si>
  <si>
    <t>Alternatieven</t>
  </si>
  <si>
    <t>Midazolam (Dormicum) iv</t>
  </si>
  <si>
    <t>Ketamine (Ketalar) iv</t>
  </si>
  <si>
    <t>Intubatie</t>
  </si>
  <si>
    <t>Reanimatie</t>
  </si>
  <si>
    <t>Vulling/Vasopressie</t>
  </si>
  <si>
    <t>Dobutamine (Dobutrex) iv</t>
  </si>
  <si>
    <t>Noradrenaline (Levophed)</t>
  </si>
  <si>
    <t>mL/u</t>
  </si>
  <si>
    <t>Convulsies</t>
  </si>
  <si>
    <t>Levetiracetam (Keppra) iv</t>
  </si>
  <si>
    <t>Lorazepam (Temesta) buccaal</t>
  </si>
  <si>
    <t>Lorazepam (Temesta) iv</t>
  </si>
  <si>
    <t>Midazolam (Dormicum) continue</t>
  </si>
  <si>
    <t>Continue sedatie</t>
  </si>
  <si>
    <t>0,05 tot 0,2 mg/kg/u</t>
  </si>
  <si>
    <t>Sufentanyl (Sufenta) iv bolus</t>
  </si>
  <si>
    <t>Sufentanyl (Sufenta) iv continue</t>
  </si>
  <si>
    <t>Overig</t>
  </si>
  <si>
    <t>Aciclovir (Zovirax) iv</t>
  </si>
  <si>
    <t>Adenosine (Adenocor) iv</t>
  </si>
  <si>
    <t>Adrenaline aerosol</t>
  </si>
  <si>
    <t>Ampicilline (Pentrexyl) iv</t>
  </si>
  <si>
    <t>Calciumchloride (Calciclo) iv</t>
  </si>
  <si>
    <t>hyperkaliemie</t>
  </si>
  <si>
    <t>Calciumgluconaat 10% iv</t>
  </si>
  <si>
    <t>hypocalciemie</t>
  </si>
  <si>
    <t>Cefotaxim (Claforan) iv</t>
  </si>
  <si>
    <t>Ceftriaxone (Rocephin) iv</t>
  </si>
  <si>
    <t>1 gram poeder</t>
  </si>
  <si>
    <t>Dexamethason (Aacidexam) iv</t>
  </si>
  <si>
    <t>Flumazenil (Anexate) iv</t>
  </si>
  <si>
    <t>Furosemide (Lasix) iv</t>
  </si>
  <si>
    <t>Glucagon im/sc</t>
  </si>
  <si>
    <t>Hydrocortison (Solucortef) iv</t>
  </si>
  <si>
    <t>Mannitol 15% iv</t>
  </si>
  <si>
    <t>MgSO4 10% iv</t>
  </si>
  <si>
    <t>mL in 30min.</t>
  </si>
  <si>
    <t>jaar</t>
  </si>
  <si>
    <t>maanden</t>
  </si>
  <si>
    <t>Normale ademhalingsfrequentie</t>
  </si>
  <si>
    <t>Normale polsfrequentie</t>
  </si>
  <si>
    <t>Tube diepte (oraal)</t>
  </si>
  <si>
    <t>Tube diepte(nasaal)</t>
  </si>
  <si>
    <t>In te stellen tidal volume</t>
  </si>
  <si>
    <t>Onderhoudsinfuus</t>
  </si>
  <si>
    <t>Gewicht patiënt</t>
  </si>
  <si>
    <t>Etomidaat (Hypnomidate) iv</t>
  </si>
  <si>
    <t>pijnstilling</t>
  </si>
  <si>
    <t>Morfine iv</t>
  </si>
  <si>
    <t>Naloxone (Narcan) iv</t>
  </si>
  <si>
    <t>Methylprednisolon (Solumedrol) iv</t>
  </si>
  <si>
    <t>Leeftijd patiënt &gt; 1 jaar</t>
  </si>
  <si>
    <t>Leeftijd patiënt &lt; 1 jaar</t>
  </si>
  <si>
    <t xml:space="preserve">Hoewel met uiterste zorg samengesteld en gecontroleerd door verschillende betrokkenen gelden bovenstaande dosissen enkel als richtlijn. </t>
  </si>
  <si>
    <t>Gluc 10% iv</t>
  </si>
  <si>
    <r>
      <t xml:space="preserve">Gewicht 
</t>
    </r>
    <r>
      <rPr>
        <b/>
        <sz val="14"/>
        <color indexed="9"/>
        <rFont val="Calibri"/>
        <family val="2"/>
      </rPr>
      <t>(gebruikt voor berekeningen)</t>
    </r>
  </si>
  <si>
    <t>Lidocaïne (Linisol) 1%</t>
  </si>
  <si>
    <t>prebolus via botnaald</t>
  </si>
  <si>
    <t>Insuline (Novorapid) iv</t>
  </si>
  <si>
    <t>Ondergrens systolische bloeddruk (p5)</t>
  </si>
  <si>
    <t>Normale systolische bloeddruk (p50)</t>
  </si>
  <si>
    <t>Afronden naar  boven</t>
  </si>
  <si>
    <t xml:space="preserve">mL </t>
  </si>
  <si>
    <t>Remifentanil (Ultiva) iv continue</t>
  </si>
  <si>
    <t>Clemastine (Tavegil) iv</t>
  </si>
  <si>
    <t>mL in 20-30min.</t>
  </si>
  <si>
    <t>Tranexaminezuur (Exacyl) iv continue</t>
  </si>
  <si>
    <t>Salbutamol (Ventolin) iv oplaad</t>
  </si>
  <si>
    <t>Salbutamol (Ventolin) iv continue</t>
  </si>
  <si>
    <t>Tranexaminezuur (Exacyl) iv oplaad</t>
  </si>
  <si>
    <t>NaCl 30% iv (hypertoon zout)</t>
  </si>
  <si>
    <t>10 microgram/kg</t>
  </si>
  <si>
    <t xml:space="preserve">  </t>
  </si>
  <si>
    <t>Dosage (in mL)</t>
  </si>
  <si>
    <t>1 microgram/kg</t>
  </si>
  <si>
    <t>2 mg/kg</t>
  </si>
  <si>
    <t>1 mg/1 mL</t>
  </si>
  <si>
    <t>150 mg/3 mL</t>
  </si>
  <si>
    <t>100 mmol/100 mL</t>
  </si>
  <si>
    <t>0,1 mg/2 mL</t>
  </si>
  <si>
    <t>1%=200 mg/20 mL</t>
  </si>
  <si>
    <t>50 mg/5 mL</t>
  </si>
  <si>
    <t>20 mg/10 mL</t>
  </si>
  <si>
    <t>15 mg/3 mL</t>
  </si>
  <si>
    <t>500 mg/10 mL</t>
  </si>
  <si>
    <t>250 mg/20 mL</t>
  </si>
  <si>
    <t>1 L</t>
  </si>
  <si>
    <t>8 mg/4 mL</t>
  </si>
  <si>
    <t>250 mg/5 mL</t>
  </si>
  <si>
    <t>500 mg/5 mL</t>
  </si>
  <si>
    <t>4 mg/1 mL</t>
  </si>
  <si>
    <t>15 mg/3mL</t>
  </si>
  <si>
    <t>5 mg</t>
  </si>
  <si>
    <t>250 microgram/5 mL</t>
  </si>
  <si>
    <t>250 mg poeder</t>
  </si>
  <si>
    <t>6 mg/2 mL</t>
  </si>
  <si>
    <t>5,5 mmol Ca++/ 10mL</t>
  </si>
  <si>
    <t>2,3 mmol Ca++/10 mL</t>
  </si>
  <si>
    <t>5 mg/1 mL</t>
  </si>
  <si>
    <t>0,5 mg/5 mL</t>
  </si>
  <si>
    <t>20 mg/2 mL</t>
  </si>
  <si>
    <t>1 mg+1 mL solvens</t>
  </si>
  <si>
    <t>100 mg/2 mL</t>
  </si>
  <si>
    <t>50 EH/0,5 mL</t>
  </si>
  <si>
    <t>100 mg/10 mL</t>
  </si>
  <si>
    <t>40 mg poeder</t>
  </si>
  <si>
    <t>10 mg/1 mL</t>
  </si>
  <si>
    <t>0,4 mg/1 mL</t>
  </si>
  <si>
    <t>5 mg/5 mL</t>
  </si>
  <si>
    <t>1 mg/kg</t>
  </si>
  <si>
    <t>0,3 mg/kg</t>
  </si>
  <si>
    <t>0,1 mg/kg</t>
  </si>
  <si>
    <t>0,1 tot 1 mg/kg/u</t>
  </si>
  <si>
    <t>0-3 mnd: 20 mg/kg</t>
  </si>
  <si>
    <t>50 mg/kg</t>
  </si>
  <si>
    <t>0,15 mg/kg</t>
  </si>
  <si>
    <t>1-2 mg/kg</t>
  </si>
  <si>
    <t>&lt;25kg: 0,5 mg, &gt;25kg: 1 mg</t>
  </si>
  <si>
    <t>4 mg/kg</t>
  </si>
  <si>
    <t>0,25 tot 0,5 mg/kg</t>
  </si>
  <si>
    <t>40  mg/kg in 20min.</t>
  </si>
  <si>
    <t>15  mg/kg</t>
  </si>
  <si>
    <t>4 mL+46 mL gluc5% = 50 mg/50 mL</t>
  </si>
  <si>
    <t>2 mL+23 mL gluc5% = 4 mg/25 mL</t>
  </si>
  <si>
    <t>5 mL+20 mL NaCl 0,9% = 250 mg/25 mL</t>
  </si>
  <si>
    <t>6 mL+24 mL gluc5% = 30 mg/30 mL</t>
  </si>
  <si>
    <t>oplossen in 50 mL NaCl 0,9% = 250 mg/50 mL</t>
  </si>
  <si>
    <t>0,12mmol Ca++/kg (=0,2 mL/kg)</t>
  </si>
  <si>
    <t>0,12mmol Ca++/kg (=0,5 mL/kg)</t>
  </si>
  <si>
    <t>1 mg/ mL</t>
  </si>
  <si>
    <t>0,5 mL+49,5 mL NaCL 0,9% = 50EH/50 mL</t>
  </si>
  <si>
    <t>0,5 mg/kg (=0,05 mL/kg)</t>
  </si>
  <si>
    <t>in bijbehorend oplosmiddel (1 mL)</t>
  </si>
  <si>
    <t xml:space="preserve">10 mL+10 mL NaCl 0,9% = 1g/20 mL </t>
  </si>
  <si>
    <t>120  mg/kg (=0,4 mL/kg)</t>
  </si>
  <si>
    <t>5 mL+45 mL NaCl 0,9% = 5 mg/50 mL</t>
  </si>
  <si>
    <t>10  microgram/kg</t>
  </si>
  <si>
    <t>20 microgram/kg</t>
  </si>
  <si>
    <t>2 microgram/kg</t>
  </si>
  <si>
    <t>5 tot 20  microgram/kg/min</t>
  </si>
  <si>
    <t>0,1 tot 0,4 microgram/kg/min</t>
  </si>
  <si>
    <t>5 mL+20 mL gluc5% = 250 microgram/25 mL</t>
  </si>
  <si>
    <t>0,1 tot 1 microgram/kg</t>
  </si>
  <si>
    <t>0,3 tot 1  microgram/kg/u</t>
  </si>
  <si>
    <t>1e x: 100  microgram/kg</t>
  </si>
  <si>
    <t>2e x: 200  microgram/kg</t>
  </si>
  <si>
    <t>25-50 microgram/kg</t>
  </si>
  <si>
    <t>100  microgram/kg</t>
  </si>
  <si>
    <t>0,2 tot 2  microgram/kg/min</t>
  </si>
  <si>
    <t>1 mmol/kg</t>
  </si>
  <si>
    <t>0,05 EH/kg/u</t>
  </si>
  <si>
    <t>5 mg/kg</t>
  </si>
  <si>
    <t>1e x:1 J/kg</t>
  </si>
  <si>
    <t>2e x: 2 J/kg</t>
  </si>
  <si>
    <t>4 J/kg</t>
  </si>
  <si>
    <t>0,1 tot 1  microgram/kg/min</t>
  </si>
  <si>
    <t>5 mL+45 mL gluc5% = 5 mg/50 mL</t>
  </si>
  <si>
    <t>mL in 20 min.</t>
  </si>
  <si>
    <t>20 mg/kg in 20 min.</t>
  </si>
  <si>
    <t>Midazolam (Dormicum) buccaal/in</t>
  </si>
  <si>
    <t>0,225 mmol/kg in 20-30min. (=1 mL/kg)</t>
  </si>
  <si>
    <t>mL in 15 min.</t>
  </si>
  <si>
    <t>0,5g/kg in 15 min.</t>
  </si>
  <si>
    <t>bij torsade de pointes : 25 mg/kg</t>
  </si>
  <si>
    <t>mL in 10 min.</t>
  </si>
  <si>
    <t>max. snelheid 100 mg/min</t>
  </si>
  <si>
    <t>2  mg/kg/u gedurende 8u</t>
  </si>
  <si>
    <t>mL/u gedurende 8u</t>
  </si>
  <si>
    <t>Maat urinecatheter</t>
  </si>
  <si>
    <t>Maat mayo canule</t>
  </si>
  <si>
    <t>Maat maagsonde</t>
  </si>
  <si>
    <t>1  mL+9  mL NaCl 0,9% = 1  mg/10  mL (1:10.000)</t>
  </si>
  <si>
    <t>Afronden naar boven</t>
  </si>
  <si>
    <t>5 mg poeder</t>
  </si>
  <si>
    <t>oplossen in 50 mL gluc5% = 5 mg/50mL</t>
  </si>
  <si>
    <t>oplossen in 5 mL aqua =  1 gram /5 mL</t>
  </si>
  <si>
    <t>oplossen in 10 mL aqua = 1 gram /10 mL</t>
  </si>
  <si>
    <t xml:space="preserve">oplossen in 40 mL NaCl 0,9% = 1 gram /40 mL </t>
  </si>
  <si>
    <t>100 mg/kg in 30 min.</t>
  </si>
  <si>
    <t>3 gram/10 mL</t>
  </si>
  <si>
    <t>1 gram/10 mL</t>
  </si>
  <si>
    <t>75 gram/500 mL</t>
  </si>
  <si>
    <t>Alizapride (Litican) iv</t>
  </si>
  <si>
    <t>50 mg / 2 mL</t>
  </si>
  <si>
    <t>De gebruiker is te allen tijde verantwoordelijk voor zijn eigen acties en beslissingen.</t>
  </si>
  <si>
    <t>Deze tabel is gemaakt voor pediatrische patiënten. Voor neonaten : gebruik de tabel van de dienst neonatologie.</t>
  </si>
  <si>
    <t>12  microgram/kg in 10 min.</t>
  </si>
  <si>
    <t>De auteur van dit document kan geen aansprakelijkheid ten laste gelegd worden.</t>
  </si>
  <si>
    <t>Fenytoine (Diphantoine) iv</t>
  </si>
  <si>
    <t>Valproaat (Depakine)  iv</t>
  </si>
  <si>
    <t>5 mL+30 mL NaCl 0,9% = 500 mg/35 mL</t>
  </si>
  <si>
    <t>mL in 8 min.</t>
  </si>
  <si>
    <t>1000 mg/10 mL</t>
  </si>
  <si>
    <t>benodigde dosis oplossen in 50 mL NaCl 0,9%</t>
  </si>
  <si>
    <t>40 mg/kg in 8 min.</t>
  </si>
  <si>
    <t>3 mL/kg</t>
  </si>
  <si>
    <t>Plasmalyte iv</t>
  </si>
  <si>
    <t>10 mL/kg</t>
  </si>
  <si>
    <t>by glucose &lt; 50 mg/dL</t>
  </si>
  <si>
    <t xml:space="preserve">Contactpersoon : Marjolein Mattheij marjolein.mattheij@uza.be </t>
  </si>
  <si>
    <t>Tube Maat</t>
  </si>
  <si>
    <t>1,6 mg/kg</t>
  </si>
  <si>
    <t>datum : okt 2021</t>
  </si>
  <si>
    <t>versie nummer : 11</t>
  </si>
  <si>
    <r>
      <t>vanaf 3mnd: 500 mg/m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/dag</t>
    </r>
  </si>
  <si>
    <t>indicatie: herpes encefalitis</t>
  </si>
  <si>
    <t>ampul</t>
  </si>
  <si>
    <t>voorgevulde spuit</t>
  </si>
  <si>
    <t>1 mg/5 mL</t>
  </si>
  <si>
    <t>te berekenen aan de hand van lichaamsopp.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</si>
</sst>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  <numFmt numFmtId="177" formatCode="[$€-2]\ #.##000_);[Red]\([$€-2]\ #.##000\)"/>
    <numFmt numFmtId="178" formatCode="&quot;Waar&quot;;&quot;Waar&quot;;&quot;Onwaar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20"/>
      <color indexed="9"/>
      <name val="Calibri"/>
      <family val="2"/>
    </font>
    <font>
      <b/>
      <sz val="24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20"/>
      <color theme="0"/>
      <name val="Calibri"/>
      <family val="2"/>
    </font>
    <font>
      <b/>
      <sz val="24"/>
      <color theme="0"/>
      <name val="Calibri"/>
      <family val="2"/>
    </font>
    <font>
      <b/>
      <sz val="14"/>
      <color theme="0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3" fillId="10" borderId="10" xfId="0" applyFont="1" applyFill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9" fillId="33" borderId="0" xfId="0" applyFont="1" applyFill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0" borderId="13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45" fillId="7" borderId="14" xfId="0" applyFont="1" applyFill="1" applyBorder="1" applyAlignment="1" applyProtection="1">
      <alignment/>
      <protection/>
    </xf>
    <xf numFmtId="0" fontId="45" fillId="7" borderId="15" xfId="0" applyFont="1" applyFill="1" applyBorder="1" applyAlignment="1" applyProtection="1">
      <alignment/>
      <protection/>
    </xf>
    <xf numFmtId="0" fontId="46" fillId="7" borderId="16" xfId="0" applyFon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/>
      <protection/>
    </xf>
    <xf numFmtId="0" fontId="39" fillId="34" borderId="19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39" fillId="0" borderId="0" xfId="0" applyFont="1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39" fillId="10" borderId="21" xfId="0" applyFont="1" applyFill="1" applyBorder="1" applyAlignment="1" applyProtection="1">
      <alignment horizontal="right"/>
      <protection/>
    </xf>
    <xf numFmtId="0" fontId="39" fillId="10" borderId="22" xfId="0" applyFont="1" applyFill="1" applyBorder="1" applyAlignment="1" applyProtection="1">
      <alignment horizontal="right"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47" fillId="33" borderId="24" xfId="0" applyFont="1" applyFill="1" applyBorder="1" applyAlignment="1" applyProtection="1">
      <alignment wrapText="1"/>
      <protection/>
    </xf>
    <xf numFmtId="0" fontId="48" fillId="36" borderId="25" xfId="0" applyFont="1" applyFill="1" applyBorder="1" applyAlignment="1" applyProtection="1">
      <alignment/>
      <protection/>
    </xf>
    <xf numFmtId="0" fontId="49" fillId="36" borderId="26" xfId="0" applyFont="1" applyFill="1" applyBorder="1" applyAlignment="1" applyProtection="1">
      <alignment/>
      <protection/>
    </xf>
    <xf numFmtId="0" fontId="49" fillId="36" borderId="27" xfId="0" applyFont="1" applyFill="1" applyBorder="1" applyAlignment="1" applyProtection="1">
      <alignment/>
      <protection/>
    </xf>
    <xf numFmtId="0" fontId="46" fillId="7" borderId="28" xfId="0" applyFont="1" applyFill="1" applyBorder="1" applyAlignment="1" applyProtection="1">
      <alignment/>
      <protection locked="0"/>
    </xf>
    <xf numFmtId="0" fontId="45" fillId="7" borderId="0" xfId="0" applyFont="1" applyFill="1" applyBorder="1" applyAlignment="1" applyProtection="1">
      <alignment/>
      <protection locked="0"/>
    </xf>
    <xf numFmtId="0" fontId="45" fillId="7" borderId="29" xfId="0" applyFont="1" applyFill="1" applyBorder="1" applyAlignment="1" applyProtection="1">
      <alignment/>
      <protection locked="0"/>
    </xf>
    <xf numFmtId="0" fontId="43" fillId="10" borderId="30" xfId="0" applyFont="1" applyFill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37" borderId="11" xfId="0" applyFont="1" applyFill="1" applyBorder="1" applyAlignment="1" applyProtection="1">
      <alignment/>
      <protection/>
    </xf>
    <xf numFmtId="0" fontId="0" fillId="37" borderId="12" xfId="0" applyFont="1" applyFill="1" applyBorder="1" applyAlignment="1" applyProtection="1">
      <alignment/>
      <protection/>
    </xf>
    <xf numFmtId="0" fontId="39" fillId="37" borderId="19" xfId="0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7" borderId="20" xfId="0" applyFont="1" applyFill="1" applyBorder="1" applyAlignment="1" applyProtection="1">
      <alignment/>
      <protection/>
    </xf>
    <xf numFmtId="0" fontId="0" fillId="37" borderId="17" xfId="0" applyFont="1" applyFill="1" applyBorder="1" applyAlignment="1" applyProtection="1">
      <alignment/>
      <protection/>
    </xf>
    <xf numFmtId="0" fontId="0" fillId="37" borderId="23" xfId="0" applyFont="1" applyFill="1" applyBorder="1" applyAlignment="1" applyProtection="1">
      <alignment/>
      <protection/>
    </xf>
    <xf numFmtId="0" fontId="0" fillId="37" borderId="18" xfId="0" applyFont="1" applyFill="1" applyBorder="1" applyAlignment="1" applyProtection="1">
      <alignment/>
      <protection/>
    </xf>
    <xf numFmtId="0" fontId="0" fillId="37" borderId="12" xfId="0" applyFill="1" applyBorder="1" applyAlignment="1" applyProtection="1">
      <alignment/>
      <protection/>
    </xf>
    <xf numFmtId="0" fontId="39" fillId="34" borderId="0" xfId="0" applyFont="1" applyFill="1" applyAlignment="1" applyProtection="1">
      <alignment/>
      <protection/>
    </xf>
    <xf numFmtId="0" fontId="39" fillId="37" borderId="17" xfId="0" applyFont="1" applyFill="1" applyBorder="1" applyAlignment="1" applyProtection="1">
      <alignment horizontal="right"/>
      <protection/>
    </xf>
    <xf numFmtId="0" fontId="39" fillId="37" borderId="31" xfId="0" applyFont="1" applyFill="1" applyBorder="1" applyAlignment="1" applyProtection="1">
      <alignment/>
      <protection/>
    </xf>
    <xf numFmtId="0" fontId="39" fillId="34" borderId="17" xfId="0" applyFont="1" applyFill="1" applyBorder="1" applyAlignment="1" applyProtection="1">
      <alignment/>
      <protection/>
    </xf>
    <xf numFmtId="0" fontId="39" fillId="34" borderId="17" xfId="0" applyFont="1" applyFill="1" applyBorder="1" applyAlignment="1" applyProtection="1">
      <alignment horizontal="right"/>
      <protection/>
    </xf>
    <xf numFmtId="0" fontId="50" fillId="0" borderId="11" xfId="0" applyFont="1" applyBorder="1" applyAlignment="1" applyProtection="1">
      <alignment/>
      <protection/>
    </xf>
    <xf numFmtId="0" fontId="0" fillId="37" borderId="11" xfId="0" applyFill="1" applyBorder="1" applyAlignment="1" applyProtection="1">
      <alignment/>
      <protection/>
    </xf>
    <xf numFmtId="0" fontId="0" fillId="37" borderId="18" xfId="0" applyFill="1" applyBorder="1" applyAlignment="1" applyProtection="1">
      <alignment wrapText="1"/>
      <protection/>
    </xf>
    <xf numFmtId="0" fontId="0" fillId="34" borderId="12" xfId="0" applyFill="1" applyBorder="1" applyAlignment="1" applyProtection="1">
      <alignment/>
      <protection/>
    </xf>
    <xf numFmtId="0" fontId="0" fillId="37" borderId="20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39" fillId="34" borderId="31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39" fillId="34" borderId="0" xfId="0" applyFont="1" applyFill="1" applyBorder="1" applyAlignment="1" applyProtection="1">
      <alignment/>
      <protection/>
    </xf>
    <xf numFmtId="0" fontId="39" fillId="37" borderId="12" xfId="0" applyFont="1" applyFill="1" applyBorder="1" applyAlignment="1" applyProtection="1">
      <alignment horizontal="right"/>
      <protection/>
    </xf>
    <xf numFmtId="0" fontId="0" fillId="37" borderId="18" xfId="0" applyFill="1" applyBorder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29" fillId="33" borderId="0" xfId="0" applyFont="1" applyFill="1" applyBorder="1" applyAlignment="1" applyProtection="1">
      <alignment horizontal="right"/>
      <protection/>
    </xf>
    <xf numFmtId="0" fontId="39" fillId="34" borderId="0" xfId="0" applyFont="1" applyFill="1" applyBorder="1" applyAlignment="1" applyProtection="1">
      <alignment horizontal="right"/>
      <protection/>
    </xf>
    <xf numFmtId="0" fontId="39" fillId="34" borderId="12" xfId="0" applyFont="1" applyFill="1" applyBorder="1" applyAlignment="1" applyProtection="1">
      <alignment horizontal="right"/>
      <protection/>
    </xf>
    <xf numFmtId="0" fontId="39" fillId="0" borderId="0" xfId="0" applyFont="1" applyBorder="1" applyAlignment="1" applyProtection="1">
      <alignment horizontal="right"/>
      <protection/>
    </xf>
    <xf numFmtId="0" fontId="39" fillId="37" borderId="18" xfId="0" applyFont="1" applyFill="1" applyBorder="1" applyAlignment="1" applyProtection="1">
      <alignment horizontal="right"/>
      <protection/>
    </xf>
    <xf numFmtId="0" fontId="39" fillId="37" borderId="32" xfId="0" applyFont="1" applyFill="1" applyBorder="1" applyAlignment="1" applyProtection="1">
      <alignment/>
      <protection/>
    </xf>
    <xf numFmtId="0" fontId="39" fillId="0" borderId="33" xfId="0" applyFont="1" applyBorder="1" applyAlignment="1" applyProtection="1">
      <alignment/>
      <protection/>
    </xf>
    <xf numFmtId="0" fontId="39" fillId="37" borderId="33" xfId="0" applyFont="1" applyFill="1" applyBorder="1" applyAlignment="1" applyProtection="1">
      <alignment/>
      <protection/>
    </xf>
    <xf numFmtId="0" fontId="39" fillId="37" borderId="34" xfId="0" applyFont="1" applyFill="1" applyBorder="1" applyAlignment="1" applyProtection="1">
      <alignment wrapText="1"/>
      <protection/>
    </xf>
    <xf numFmtId="0" fontId="39" fillId="37" borderId="35" xfId="0" applyFont="1" applyFill="1" applyBorder="1" applyAlignment="1" applyProtection="1">
      <alignment/>
      <protection/>
    </xf>
    <xf numFmtId="0" fontId="39" fillId="0" borderId="36" xfId="0" applyFont="1" applyBorder="1" applyAlignment="1" applyProtection="1">
      <alignment/>
      <protection/>
    </xf>
    <xf numFmtId="0" fontId="39" fillId="34" borderId="33" xfId="0" applyFont="1" applyFill="1" applyBorder="1" applyAlignment="1" applyProtection="1">
      <alignment/>
      <protection/>
    </xf>
    <xf numFmtId="0" fontId="39" fillId="0" borderId="34" xfId="0" applyFont="1" applyBorder="1" applyAlignment="1" applyProtection="1">
      <alignment/>
      <protection/>
    </xf>
    <xf numFmtId="0" fontId="39" fillId="34" borderId="36" xfId="0" applyFont="1" applyFill="1" applyBorder="1" applyAlignment="1" applyProtection="1">
      <alignment/>
      <protection/>
    </xf>
    <xf numFmtId="0" fontId="39" fillId="37" borderId="34" xfId="0" applyFont="1" applyFill="1" applyBorder="1" applyAlignment="1" applyProtection="1">
      <alignment/>
      <protection/>
    </xf>
    <xf numFmtId="0" fontId="39" fillId="34" borderId="32" xfId="0" applyFont="1" applyFill="1" applyBorder="1" applyAlignment="1" applyProtection="1">
      <alignment/>
      <protection/>
    </xf>
    <xf numFmtId="0" fontId="39" fillId="0" borderId="18" xfId="0" applyFont="1" applyBorder="1" applyAlignment="1" applyProtection="1">
      <alignment/>
      <protection/>
    </xf>
    <xf numFmtId="0" fontId="39" fillId="0" borderId="32" xfId="0" applyFont="1" applyBorder="1" applyAlignment="1" applyProtection="1">
      <alignment/>
      <protection/>
    </xf>
    <xf numFmtId="0" fontId="39" fillId="37" borderId="17" xfId="0" applyFont="1" applyFill="1" applyBorder="1" applyAlignment="1" applyProtection="1">
      <alignment/>
      <protection/>
    </xf>
    <xf numFmtId="0" fontId="0" fillId="37" borderId="31" xfId="0" applyFill="1" applyBorder="1" applyAlignment="1" applyProtection="1">
      <alignment/>
      <protection/>
    </xf>
    <xf numFmtId="0" fontId="39" fillId="0" borderId="17" xfId="0" applyFont="1" applyFill="1" applyBorder="1" applyAlignment="1" applyProtection="1">
      <alignment/>
      <protection/>
    </xf>
    <xf numFmtId="0" fontId="39" fillId="0" borderId="31" xfId="0" applyFont="1" applyFill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0</xdr:row>
      <xdr:rowOff>0</xdr:rowOff>
    </xdr:from>
    <xdr:to>
      <xdr:col>6</xdr:col>
      <xdr:colOff>581025</xdr:colOff>
      <xdr:row>1</xdr:row>
      <xdr:rowOff>323850</xdr:rowOff>
    </xdr:to>
    <xdr:pic>
      <xdr:nvPicPr>
        <xdr:cNvPr id="1" name="Afbeelding 1" descr="logo_UZ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0075" y="0"/>
          <a:ext cx="1714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1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8.7109375" style="6" customWidth="1"/>
    <col min="2" max="2" width="19.57421875" style="6" customWidth="1"/>
    <col min="3" max="3" width="41.00390625" style="6" customWidth="1"/>
    <col min="4" max="4" width="52.57421875" style="6" customWidth="1"/>
    <col min="5" max="5" width="26.57421875" style="6" customWidth="1"/>
    <col min="6" max="6" width="19.00390625" style="72" customWidth="1"/>
    <col min="7" max="7" width="20.140625" style="7" customWidth="1"/>
    <col min="8" max="8" width="13.28125" style="6" hidden="1" customWidth="1"/>
    <col min="9" max="10" width="9.140625" style="6" hidden="1" customWidth="1"/>
    <col min="11" max="11" width="8.28125" style="6" hidden="1" customWidth="1"/>
    <col min="12" max="12" width="9.140625" style="7" customWidth="1"/>
    <col min="13" max="16384" width="9.140625" style="6" customWidth="1"/>
  </cols>
  <sheetData>
    <row r="1" spans="1:12" s="2" customFormat="1" ht="43.5" customHeight="1">
      <c r="A1" s="32" t="s">
        <v>67</v>
      </c>
      <c r="B1" s="35"/>
      <c r="C1" s="15" t="s">
        <v>11</v>
      </c>
      <c r="D1" s="10"/>
      <c r="E1" s="10"/>
      <c r="F1" s="67" t="s">
        <v>94</v>
      </c>
      <c r="L1" s="7"/>
    </row>
    <row r="2" spans="1:12" s="2" customFormat="1" ht="27.75" customHeight="1">
      <c r="A2" s="33" t="s">
        <v>73</v>
      </c>
      <c r="B2" s="36"/>
      <c r="C2" s="13" t="s">
        <v>59</v>
      </c>
      <c r="D2" s="10"/>
      <c r="E2" s="10"/>
      <c r="F2" s="67"/>
      <c r="L2" s="7"/>
    </row>
    <row r="3" spans="1:12" s="2" customFormat="1" ht="18" customHeight="1" thickBot="1">
      <c r="A3" s="34" t="s">
        <v>74</v>
      </c>
      <c r="B3" s="37"/>
      <c r="C3" s="14" t="s">
        <v>60</v>
      </c>
      <c r="D3" s="10"/>
      <c r="E3" s="10"/>
      <c r="F3" s="67"/>
      <c r="L3" s="7"/>
    </row>
    <row r="4" spans="1:12" s="2" customFormat="1" ht="45.75" customHeight="1" thickBot="1">
      <c r="A4" s="31" t="s">
        <v>77</v>
      </c>
      <c r="B4" s="38">
        <f>IF(B1&gt;0,B1,IF(B2=0,(B3*0.5)+4,IF(B2&gt;=10,(B2*3)+7,(B2*2.5)+8)))</f>
        <v>4</v>
      </c>
      <c r="C4" s="1" t="s">
        <v>11</v>
      </c>
      <c r="E4" s="10"/>
      <c r="F4" s="68"/>
      <c r="L4" s="7"/>
    </row>
    <row r="5" spans="1:12" s="9" customFormat="1" ht="15.75" customHeight="1">
      <c r="A5" s="11" t="s">
        <v>61</v>
      </c>
      <c r="B5" s="26" t="str">
        <f>IF(B2&gt;12,"15-20/min",(IF(B2&gt;=5,"20-25/min",(IF(B2&gt;=2,"25-30/min",(IF(B2&gt;=1,"25-35/min",(IF(AND(B2=0,B3&lt;&gt;0),"30-40/min","vul leeftijd in")))))))))</f>
        <v>vul leeftijd in</v>
      </c>
      <c r="C5" s="11" t="s">
        <v>62</v>
      </c>
      <c r="D5" s="27" t="str">
        <f>IF(B2&gt;12,"60-100/min",(IF(B2&gt;=5,"80-120/min",(IF(B2&gt;=2,"95-140/min",(IF(B2&gt;=1,"100-150/min",(IF(AND(B2=0,B3&lt;&gt;0),"110-160/min","vul leeftijd in")))))))))</f>
        <v>vul leeftijd in</v>
      </c>
      <c r="E5" s="11"/>
      <c r="F5" s="19"/>
      <c r="G5" s="19"/>
      <c r="L5" s="7"/>
    </row>
    <row r="6" spans="1:12" s="9" customFormat="1" ht="15.75" customHeight="1">
      <c r="A6" s="11" t="s">
        <v>82</v>
      </c>
      <c r="B6" s="27" t="str">
        <f>IF(B2&gt;12,"100-120",(IF(B2&gt;=5,"90-110",(IF(B2&gt;=2,"85-100",(IF(B2&gt;=1,"85-95",(IF(AND(B2=0,B3&lt;&gt;0),"80-90","vul leeftijd in")))))))))</f>
        <v>vul leeftijd in</v>
      </c>
      <c r="C6" s="11" t="s">
        <v>81</v>
      </c>
      <c r="D6" s="27" t="str">
        <f>IF(B2&gt;12,"90-105",(IF(B2&gt;=5,"80-90",(IF(B2&gt;=2,"70-80",(IF(B2&gt;=1,"70-75",(IF(AND(B2=0,B3&lt;&gt;0),"67-75","vul leeftijd in")))))))))</f>
        <v>vul leeftijd in</v>
      </c>
      <c r="E6" s="11"/>
      <c r="F6" s="19"/>
      <c r="G6" s="19"/>
      <c r="L6" s="7"/>
    </row>
    <row r="7" spans="1:12" s="9" customFormat="1" ht="15.75" customHeight="1">
      <c r="A7" s="11" t="s">
        <v>190</v>
      </c>
      <c r="B7" s="27" t="str">
        <f>IF(B4&gt;23,"12F",(IF(B4&gt;=14,"10-12F",(IF(B4&gt;=11,"10F",(IF(B4&gt;=7,"8-10F","6-8F")))))))</f>
        <v>6-8F</v>
      </c>
      <c r="C7" s="11" t="s">
        <v>192</v>
      </c>
      <c r="D7" s="27" t="str">
        <f>IF(B4&gt;25,"12CH",(IF(B4&gt;=15,"10-12CH",(IF(B4&gt;=11,"8-10CH",(IF(B4&gt;=7,"8CH","6-8CH")))))))</f>
        <v>6-8CH</v>
      </c>
      <c r="E7" s="11"/>
      <c r="F7" s="19"/>
      <c r="G7" s="19"/>
      <c r="L7" s="7"/>
    </row>
    <row r="8" spans="1:12" s="9" customFormat="1" ht="15.75" customHeight="1">
      <c r="A8" s="11" t="s">
        <v>191</v>
      </c>
      <c r="B8" s="27" t="str">
        <f>IF(B4&gt;33,"3,4 of 5",(IF(B4&gt;=19,"2 of 3",(IF(B4&gt;=11,"1 of 2",(IF(B4&gt;=7,"0","00 of 0")))))))</f>
        <v>00 of 0</v>
      </c>
      <c r="C8" s="11" t="s">
        <v>222</v>
      </c>
      <c r="D8" s="27" t="str">
        <f>IF(B2&gt;1,(CONCATENATE("gecuffte tube ",CEILING((B2/4)+3.5,0.5))),(IF(B2=1,"gecuffte tube 3,5 of 4",(IF(B3&gt;1,"gecuffte tube 3,5 of 4","gebruik ongecuffte tube 3,5, overweeg bij gewicht &gt; 4 kg: 4")))))</f>
        <v>gebruik ongecuffte tube 3,5, overweeg bij gewicht &gt; 4 kg: 4</v>
      </c>
      <c r="E8" s="11"/>
      <c r="F8" s="19"/>
      <c r="G8" s="19"/>
      <c r="L8" s="7"/>
    </row>
    <row r="9" spans="1:12" s="9" customFormat="1" ht="15.75" customHeight="1">
      <c r="A9" s="11" t="s">
        <v>63</v>
      </c>
      <c r="B9" s="27" t="str">
        <f>IF(B2&lt;1,ROUND((((B4/2)+8)/0.5),0)*0.5&amp;" cm",ROUND((((B2/2)+12)/0.5),0)*0.5&amp;" cm")</f>
        <v>10 cm</v>
      </c>
      <c r="C9" s="12" t="s">
        <v>64</v>
      </c>
      <c r="D9" s="27" t="str">
        <f>IF(B2&lt;1,ROUND((((B4/2)+9)/0.5),0)*0.5&amp;" cm",ROUND((((B2/2)+15)/0.5),0)*0.5&amp;" cm")</f>
        <v>11 cm</v>
      </c>
      <c r="E9" s="12"/>
      <c r="F9" s="19"/>
      <c r="G9" s="19"/>
      <c r="L9" s="7"/>
    </row>
    <row r="10" spans="1:12" s="9" customFormat="1" ht="15.75" customHeight="1">
      <c r="A10" s="12" t="s">
        <v>65</v>
      </c>
      <c r="B10" s="27" t="str">
        <f>ROUND(B4*6,2)&amp;" - "&amp;ROUND(B4*8,2)&amp;" mL"</f>
        <v>24 - 32 mL</v>
      </c>
      <c r="C10" s="12" t="s">
        <v>66</v>
      </c>
      <c r="D10" s="27" t="str">
        <f>ROUND(IF(B4&gt;20,1500+(B4-20)*20,IF(B4&gt;=10,1000+(B4-10)*50,B4*100))/24,0)&amp;" mL/uur"</f>
        <v>17 mL/uur</v>
      </c>
      <c r="E10" s="12"/>
      <c r="F10" s="19"/>
      <c r="G10" s="19"/>
      <c r="L10" s="7"/>
    </row>
    <row r="11" spans="6:255" s="9" customFormat="1" ht="16.5" customHeight="1">
      <c r="F11" s="19"/>
      <c r="G11" s="19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</row>
    <row r="12" spans="1:255" s="3" customFormat="1" ht="15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69" t="s">
        <v>95</v>
      </c>
      <c r="H12" s="3" t="s">
        <v>17</v>
      </c>
      <c r="I12" s="3" t="s">
        <v>6</v>
      </c>
      <c r="J12" s="3" t="s">
        <v>16</v>
      </c>
      <c r="K12" s="3" t="s">
        <v>6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</row>
    <row r="13" spans="1:255" s="50" customFormat="1" ht="15">
      <c r="A13" s="50" t="s">
        <v>25</v>
      </c>
      <c r="F13" s="70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255" s="5" customFormat="1" ht="15">
      <c r="A14" s="4" t="s">
        <v>5</v>
      </c>
      <c r="B14" s="5" t="s">
        <v>98</v>
      </c>
      <c r="C14" s="5" t="s">
        <v>193</v>
      </c>
      <c r="D14" s="5" t="s">
        <v>93</v>
      </c>
      <c r="E14" s="75" t="str">
        <f>10*B4&amp;" microgram"</f>
        <v>40 microgram</v>
      </c>
      <c r="F14" s="71">
        <f>ROUND(MIN(B4*0.1,H14),2)</f>
        <v>0.4</v>
      </c>
      <c r="G14" s="20" t="s">
        <v>7</v>
      </c>
      <c r="H14" s="5">
        <v>10</v>
      </c>
      <c r="I14" s="5" t="s">
        <v>7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255" s="18" customFormat="1" ht="15">
      <c r="A15" s="41" t="s">
        <v>10</v>
      </c>
      <c r="B15" s="49" t="s">
        <v>99</v>
      </c>
      <c r="C15" s="42"/>
      <c r="D15" s="49" t="s">
        <v>173</v>
      </c>
      <c r="E15" s="76" t="str">
        <f>5*B4&amp;"  mg"</f>
        <v>20  mg</v>
      </c>
      <c r="F15" s="65">
        <f>ROUND(MIN(B4/10,H15),2)</f>
        <v>0.4</v>
      </c>
      <c r="G15" s="43" t="s">
        <v>7</v>
      </c>
      <c r="H15" s="18">
        <v>6</v>
      </c>
      <c r="I15" s="18" t="s">
        <v>7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</row>
    <row r="16" spans="1:255" s="5" customFormat="1" ht="15">
      <c r="A16" s="4" t="s">
        <v>9</v>
      </c>
      <c r="B16" s="5" t="s">
        <v>100</v>
      </c>
      <c r="D16" s="5" t="s">
        <v>171</v>
      </c>
      <c r="E16" s="75" t="str">
        <f>1*B4&amp;" mmol"</f>
        <v>4 mmol</v>
      </c>
      <c r="F16" s="71">
        <f>ROUND(B4,2)</f>
        <v>4</v>
      </c>
      <c r="G16" s="20" t="s">
        <v>7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</row>
    <row r="17" spans="1:255" s="18" customFormat="1" ht="15">
      <c r="A17" s="47" t="s">
        <v>12</v>
      </c>
      <c r="B17" s="48"/>
      <c r="C17" s="57" t="s">
        <v>83</v>
      </c>
      <c r="D17" s="66" t="s">
        <v>174</v>
      </c>
      <c r="E17" s="77" t="str">
        <f>ROUND(MIN(B4,H17),0)&amp;" J"</f>
        <v>4 J</v>
      </c>
      <c r="F17" s="73" t="s">
        <v>194</v>
      </c>
      <c r="G17" s="74"/>
      <c r="H17" s="18">
        <v>200</v>
      </c>
      <c r="I17" s="18" t="s">
        <v>13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</row>
    <row r="18" spans="1:255" s="5" customFormat="1" ht="15">
      <c r="A18" s="59"/>
      <c r="B18" s="44"/>
      <c r="C18" s="44"/>
      <c r="D18" s="44" t="s">
        <v>175</v>
      </c>
      <c r="E18" s="78" t="str">
        <f>ROUND(MIN(2*$B4,H18),0)&amp;" J"</f>
        <v>8 J</v>
      </c>
      <c r="F18" s="51"/>
      <c r="G18" s="52"/>
      <c r="H18" s="5">
        <v>200</v>
      </c>
      <c r="I18" s="5" t="s">
        <v>13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</row>
    <row r="19" spans="1:255" s="17" customFormat="1" ht="15">
      <c r="A19" s="4" t="s">
        <v>14</v>
      </c>
      <c r="B19" s="5"/>
      <c r="C19" s="5" t="s">
        <v>83</v>
      </c>
      <c r="D19" s="5" t="s">
        <v>176</v>
      </c>
      <c r="E19" s="75" t="str">
        <f>ROUND(MIN($B4*4,H19),0)&amp;" J"</f>
        <v>16 J</v>
      </c>
      <c r="F19" s="71" t="s">
        <v>194</v>
      </c>
      <c r="G19" s="20"/>
      <c r="H19" s="17">
        <v>200</v>
      </c>
      <c r="I19" s="17" t="s">
        <v>13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</row>
    <row r="20" spans="5:255" s="9" customFormat="1" ht="15">
      <c r="E20" s="19"/>
      <c r="F20" s="19"/>
      <c r="G20" s="1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</row>
    <row r="21" spans="1:255" s="50" customFormat="1" ht="15">
      <c r="A21" s="50" t="s">
        <v>24</v>
      </c>
      <c r="F21" s="70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</row>
    <row r="22" spans="1:255" s="5" customFormat="1" ht="15">
      <c r="A22" s="30" t="s">
        <v>15</v>
      </c>
      <c r="B22" s="17" t="s">
        <v>98</v>
      </c>
      <c r="C22" s="17" t="s">
        <v>228</v>
      </c>
      <c r="D22" s="17" t="s">
        <v>159</v>
      </c>
      <c r="E22" s="81" t="str">
        <f>20*B4&amp;" microgram"</f>
        <v>80 microgram</v>
      </c>
      <c r="F22" s="85">
        <f>MIN(MAX(0.02*B4,J22),H22)</f>
        <v>0.1</v>
      </c>
      <c r="G22" s="86" t="s">
        <v>7</v>
      </c>
      <c r="H22" s="5">
        <v>1</v>
      </c>
      <c r="I22" s="5" t="s">
        <v>7</v>
      </c>
      <c r="J22" s="5">
        <v>0.1</v>
      </c>
      <c r="K22" s="5" t="s">
        <v>7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</row>
    <row r="23" spans="1:255" s="5" customFormat="1" ht="15">
      <c r="A23" s="22"/>
      <c r="B23" s="16" t="s">
        <v>230</v>
      </c>
      <c r="C23" s="16" t="s">
        <v>229</v>
      </c>
      <c r="D23" s="91" t="s">
        <v>159</v>
      </c>
      <c r="E23" s="79" t="str">
        <f>20*B4&amp;" microgram"</f>
        <v>80 microgram</v>
      </c>
      <c r="F23" s="89">
        <f>MIN(MAX(0.1*B4,J23),H23)</f>
        <v>0.5</v>
      </c>
      <c r="G23" s="90" t="s">
        <v>7</v>
      </c>
      <c r="H23" s="5">
        <v>5</v>
      </c>
      <c r="I23" s="5" t="s">
        <v>7</v>
      </c>
      <c r="J23" s="5">
        <v>0.5</v>
      </c>
      <c r="K23" s="5" t="s">
        <v>7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</row>
    <row r="24" spans="1:255" s="18" customFormat="1" ht="15">
      <c r="A24" s="41" t="s">
        <v>18</v>
      </c>
      <c r="B24" s="49" t="s">
        <v>101</v>
      </c>
      <c r="C24" s="42"/>
      <c r="D24" s="42" t="s">
        <v>160</v>
      </c>
      <c r="E24" s="76" t="str">
        <f>2*B4&amp;" microgram"</f>
        <v>8 microgram</v>
      </c>
      <c r="F24" s="65">
        <f>ROUND((B4*0.04),2)</f>
        <v>0.16</v>
      </c>
      <c r="G24" s="43" t="s">
        <v>7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</row>
    <row r="25" spans="1:255" s="5" customFormat="1" ht="15">
      <c r="A25" s="4" t="s">
        <v>19</v>
      </c>
      <c r="B25" s="5" t="s">
        <v>102</v>
      </c>
      <c r="D25" s="5" t="s">
        <v>97</v>
      </c>
      <c r="E25" s="75" t="str">
        <f>2*B4&amp;" mg"</f>
        <v>8 mg</v>
      </c>
      <c r="F25" s="71">
        <f>ROUND(B4*0.2,2)</f>
        <v>0.8</v>
      </c>
      <c r="G25" s="20" t="s">
        <v>84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</row>
    <row r="26" spans="1:255" s="18" customFormat="1" ht="15">
      <c r="A26" s="41" t="s">
        <v>20</v>
      </c>
      <c r="B26" s="49" t="s">
        <v>103</v>
      </c>
      <c r="C26" s="42"/>
      <c r="D26" s="42" t="s">
        <v>131</v>
      </c>
      <c r="E26" s="76" t="str">
        <f>B4&amp;" mg"</f>
        <v>4 mg</v>
      </c>
      <c r="F26" s="65">
        <f>MIN(ROUND(B4*0.1,2),H26)</f>
        <v>0.4</v>
      </c>
      <c r="G26" s="43" t="s">
        <v>7</v>
      </c>
      <c r="H26" s="18">
        <v>5</v>
      </c>
      <c r="I26" s="18" t="s">
        <v>7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</row>
    <row r="27" spans="1:255" s="5" customFormat="1" ht="15">
      <c r="A27" s="55" t="s">
        <v>21</v>
      </c>
      <c r="E27" s="75"/>
      <c r="F27" s="71"/>
      <c r="G27" s="20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</row>
    <row r="28" spans="1:255" s="18" customFormat="1" ht="15">
      <c r="A28" s="41" t="s">
        <v>68</v>
      </c>
      <c r="B28" s="49" t="s">
        <v>104</v>
      </c>
      <c r="C28" s="42"/>
      <c r="D28" s="49" t="s">
        <v>132</v>
      </c>
      <c r="E28" s="76" t="str">
        <f>0.3*B4&amp;" mg"</f>
        <v>1,2 mg</v>
      </c>
      <c r="F28" s="65">
        <f>MIN(ROUND((B4*0.3)/2,2),H28)</f>
        <v>0.6</v>
      </c>
      <c r="G28" s="43" t="s">
        <v>84</v>
      </c>
      <c r="H28" s="18">
        <v>10</v>
      </c>
      <c r="I28" s="18" t="s">
        <v>7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</row>
    <row r="29" spans="1:255" s="5" customFormat="1" ht="15">
      <c r="A29" s="4" t="s">
        <v>22</v>
      </c>
      <c r="B29" s="5" t="s">
        <v>105</v>
      </c>
      <c r="D29" s="5" t="s">
        <v>133</v>
      </c>
      <c r="E29" s="75" t="str">
        <f>0.1*B4&amp;" mg"</f>
        <v>0,4 mg</v>
      </c>
      <c r="F29" s="71">
        <f>ROUND(MIN(B4/50,H29),2)</f>
        <v>0.08</v>
      </c>
      <c r="G29" s="20" t="s">
        <v>7</v>
      </c>
      <c r="H29" s="5">
        <v>2</v>
      </c>
      <c r="I29" s="5" t="s">
        <v>7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</row>
    <row r="30" spans="1:255" s="18" customFormat="1" ht="15">
      <c r="A30" s="41" t="s">
        <v>23</v>
      </c>
      <c r="B30" s="49" t="s">
        <v>106</v>
      </c>
      <c r="C30" s="42"/>
      <c r="D30" s="42" t="s">
        <v>97</v>
      </c>
      <c r="E30" s="76" t="str">
        <f>2*B4&amp;" mg"</f>
        <v>8 mg</v>
      </c>
      <c r="F30" s="65">
        <f>MIN(ROUND((B4*2)/50,2),H30)</f>
        <v>0.16</v>
      </c>
      <c r="G30" s="43" t="s">
        <v>7</v>
      </c>
      <c r="H30" s="18">
        <v>10</v>
      </c>
      <c r="I30" s="18" t="s">
        <v>7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</row>
    <row r="31" spans="5:255" s="9" customFormat="1" ht="15">
      <c r="E31" s="19"/>
      <c r="F31" s="19"/>
      <c r="G31" s="19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</row>
    <row r="32" spans="1:255" s="50" customFormat="1" ht="15">
      <c r="A32" s="50" t="s">
        <v>26</v>
      </c>
      <c r="F32" s="70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</row>
    <row r="33" spans="1:255" s="5" customFormat="1" ht="15">
      <c r="A33" s="4" t="s">
        <v>27</v>
      </c>
      <c r="B33" s="5" t="s">
        <v>107</v>
      </c>
      <c r="C33" s="5" t="s">
        <v>144</v>
      </c>
      <c r="D33" s="5" t="s">
        <v>161</v>
      </c>
      <c r="E33" s="75" t="str">
        <f>(5*60*B4)/1000&amp;" tot "&amp;(20*60*B4)/1000&amp;" mg/u"</f>
        <v>1,2 tot 4,8 mg/u</v>
      </c>
      <c r="F33" s="71" t="str">
        <f>ROUND(((B4*5)/1000)*60,2)&amp;" tot "&amp;ROUND(((B4*20)/1000)*60,2)</f>
        <v>1,2 tot 4,8</v>
      </c>
      <c r="G33" s="20" t="s">
        <v>29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</row>
    <row r="34" spans="1:255" s="18" customFormat="1" ht="15">
      <c r="A34" s="41" t="s">
        <v>218</v>
      </c>
      <c r="B34" s="49" t="s">
        <v>108</v>
      </c>
      <c r="C34" s="42"/>
      <c r="D34" s="42" t="s">
        <v>219</v>
      </c>
      <c r="E34" s="76" t="str">
        <f>10*B4&amp;" mL"</f>
        <v>40 mL</v>
      </c>
      <c r="F34" s="65">
        <f>ROUND(B4*10,2)</f>
        <v>40</v>
      </c>
      <c r="G34" s="43" t="s">
        <v>7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</row>
    <row r="35" spans="1:255" s="5" customFormat="1" ht="15">
      <c r="A35" s="4" t="s">
        <v>28</v>
      </c>
      <c r="B35" s="5" t="s">
        <v>109</v>
      </c>
      <c r="C35" s="5" t="s">
        <v>145</v>
      </c>
      <c r="D35" s="5" t="s">
        <v>177</v>
      </c>
      <c r="E35" s="75" t="str">
        <f>(0.1*60*B4)/1000&amp;" tot "&amp;(1*B4*60)/1000&amp;" mg/u"</f>
        <v>0,024 tot 0,24 mg/u</v>
      </c>
      <c r="F35" s="71" t="str">
        <f>ROUND(((((B4*0.1)/1000)*(25/4))*60),2)&amp;" tot "&amp;ROUND(((((B4*1)/1000)*(25/4))*60),2)</f>
        <v>0,15 tot 1,5</v>
      </c>
      <c r="G35" s="20" t="s">
        <v>29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</row>
    <row r="36" spans="1:255" s="9" customFormat="1" ht="15">
      <c r="A36" s="49" t="s">
        <v>5</v>
      </c>
      <c r="B36" s="49" t="s">
        <v>98</v>
      </c>
      <c r="C36" s="49" t="s">
        <v>178</v>
      </c>
      <c r="D36" s="49" t="s">
        <v>177</v>
      </c>
      <c r="E36" s="76" t="str">
        <f>(0.1*B4*60)/1000&amp;" tot "&amp;(1*B4*60)/1000&amp;" mg/u"</f>
        <v>0,024 tot 0,24 mg/u</v>
      </c>
      <c r="F36" s="65" t="str">
        <f>ROUND(((((B4*0.1)/1000)*(50/5))*60),2)&amp;" tot "&amp;ROUND(((((B4*1)/1000)*(50/5))*60),2)</f>
        <v>0,24 tot 2,4</v>
      </c>
      <c r="G36" s="43" t="s">
        <v>29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</row>
    <row r="37" spans="1:255" s="9" customFormat="1" ht="15">
      <c r="A37" s="40"/>
      <c r="E37" s="19"/>
      <c r="F37" s="19"/>
      <c r="G37" s="19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</row>
    <row r="38" spans="1:255" s="50" customFormat="1" ht="15">
      <c r="A38" s="50" t="s">
        <v>30</v>
      </c>
      <c r="F38" s="70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</row>
    <row r="39" spans="1:255" s="5" customFormat="1" ht="15">
      <c r="A39" s="4" t="s">
        <v>210</v>
      </c>
      <c r="B39" s="5" t="s">
        <v>110</v>
      </c>
      <c r="C39" s="5" t="s">
        <v>146</v>
      </c>
      <c r="D39" s="5" t="s">
        <v>180</v>
      </c>
      <c r="E39" s="75" t="str">
        <f>20*B4&amp;" mg in 20 min. "</f>
        <v>80 mg in 20 min. </v>
      </c>
      <c r="F39" s="71">
        <f>ROUND(MIN((B4*20)/10,H39),2)</f>
        <v>8</v>
      </c>
      <c r="G39" s="20" t="s">
        <v>179</v>
      </c>
      <c r="H39" s="5">
        <v>150</v>
      </c>
      <c r="I39" s="5" t="s">
        <v>8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</row>
    <row r="40" spans="1:255" s="18" customFormat="1" ht="15">
      <c r="A40" s="41" t="s">
        <v>31</v>
      </c>
      <c r="B40" s="49" t="s">
        <v>111</v>
      </c>
      <c r="C40" s="42" t="s">
        <v>212</v>
      </c>
      <c r="D40" s="49" t="s">
        <v>216</v>
      </c>
      <c r="E40" s="76" t="str">
        <f>40*B4&amp;" mg in 8 min."</f>
        <v>160 mg in 8 min.</v>
      </c>
      <c r="F40" s="65">
        <f>ROUND(MIN(((B4*40)*(35/500)),H40),2)</f>
        <v>11.2</v>
      </c>
      <c r="G40" s="43" t="s">
        <v>213</v>
      </c>
      <c r="H40" s="18">
        <v>600</v>
      </c>
      <c r="I40" s="18" t="s">
        <v>8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</row>
    <row r="41" spans="1:255" s="5" customFormat="1" ht="15">
      <c r="A41" s="4" t="s">
        <v>32</v>
      </c>
      <c r="B41" s="5" t="s">
        <v>112</v>
      </c>
      <c r="D41" s="5" t="s">
        <v>133</v>
      </c>
      <c r="E41" s="75" t="str">
        <f>0.1*B4&amp;" mg"</f>
        <v>0,4 mg</v>
      </c>
      <c r="F41" s="71">
        <f>ROUND(MIN((B4*0.1)/4,H41),2)</f>
        <v>0.1</v>
      </c>
      <c r="G41" s="20" t="s">
        <v>7</v>
      </c>
      <c r="H41" s="5">
        <v>1.25</v>
      </c>
      <c r="I41" s="5" t="s">
        <v>8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</row>
    <row r="42" spans="1:255" s="18" customFormat="1" ht="15">
      <c r="A42" s="41" t="s">
        <v>33</v>
      </c>
      <c r="B42" s="49" t="s">
        <v>112</v>
      </c>
      <c r="C42" s="42"/>
      <c r="D42" s="42" t="s">
        <v>133</v>
      </c>
      <c r="E42" s="76" t="str">
        <f>0.1*B4&amp;" mg"</f>
        <v>0,4 mg</v>
      </c>
      <c r="F42" s="65">
        <f>ROUND(MIN((B4*0.1)/4,H42),2)</f>
        <v>0.1</v>
      </c>
      <c r="G42" s="43" t="s">
        <v>7</v>
      </c>
      <c r="H42" s="18">
        <v>0.5</v>
      </c>
      <c r="I42" s="18" t="s">
        <v>8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</row>
    <row r="43" spans="1:255" s="5" customFormat="1" ht="15">
      <c r="A43" s="4" t="s">
        <v>181</v>
      </c>
      <c r="B43" s="5" t="s">
        <v>105</v>
      </c>
      <c r="D43" s="5" t="s">
        <v>132</v>
      </c>
      <c r="E43" s="75" t="str">
        <f>0.3*B4&amp;" mg"</f>
        <v>1,2 mg</v>
      </c>
      <c r="F43" s="71">
        <f>ROUND((MIN((B4*0.3)/5,H43)),2)</f>
        <v>0.24</v>
      </c>
      <c r="G43" s="20" t="s">
        <v>7</v>
      </c>
      <c r="H43" s="5">
        <v>2</v>
      </c>
      <c r="I43" s="5" t="s">
        <v>8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</row>
    <row r="44" spans="1:255" s="18" customFormat="1" ht="15">
      <c r="A44" s="41" t="s">
        <v>22</v>
      </c>
      <c r="B44" s="49" t="s">
        <v>105</v>
      </c>
      <c r="C44" s="42"/>
      <c r="D44" s="42" t="s">
        <v>133</v>
      </c>
      <c r="E44" s="76" t="str">
        <f>0.1*B4&amp;" mg"</f>
        <v>0,4 mg</v>
      </c>
      <c r="F44" s="65">
        <f>ROUND((MIN((B4*0.1)/5,H44)),2)</f>
        <v>0.08</v>
      </c>
      <c r="G44" s="43" t="s">
        <v>7</v>
      </c>
      <c r="H44" s="18">
        <v>2</v>
      </c>
      <c r="I44" s="18" t="s">
        <v>8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</row>
    <row r="45" spans="1:255" s="5" customFormat="1" ht="15">
      <c r="A45" s="4" t="s">
        <v>34</v>
      </c>
      <c r="B45" s="5" t="s">
        <v>113</v>
      </c>
      <c r="C45" s="5" t="s">
        <v>147</v>
      </c>
      <c r="D45" s="5" t="s">
        <v>134</v>
      </c>
      <c r="E45" s="75" t="str">
        <f>0.1*B4&amp;" tot "&amp;B4&amp;" mg/u"</f>
        <v>0,4 tot 4 mg/u</v>
      </c>
      <c r="F45" s="71" t="str">
        <f>ROUND(B4*0.1,2)&amp;" tot "&amp;ROUND(B4*1,2)</f>
        <v>0,4 tot 4</v>
      </c>
      <c r="G45" s="20" t="s">
        <v>29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</row>
    <row r="46" spans="1:255" s="18" customFormat="1" ht="15">
      <c r="A46" s="41" t="s">
        <v>211</v>
      </c>
      <c r="B46" s="49" t="s">
        <v>214</v>
      </c>
      <c r="C46" s="42" t="s">
        <v>215</v>
      </c>
      <c r="D46" s="49" t="s">
        <v>216</v>
      </c>
      <c r="E46" s="76" t="str">
        <f>40*B4&amp;" mg  in 8 min."</f>
        <v>160 mg  in 8 min.</v>
      </c>
      <c r="F46" s="65">
        <v>50</v>
      </c>
      <c r="G46" s="43" t="s">
        <v>179</v>
      </c>
      <c r="H46" s="18">
        <v>167</v>
      </c>
      <c r="I46" s="18" t="s">
        <v>8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</row>
    <row r="47" spans="5:255" ht="15">
      <c r="E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</row>
    <row r="48" spans="1:255" s="3" customFormat="1" ht="15">
      <c r="A48" s="3" t="s">
        <v>0</v>
      </c>
      <c r="B48" s="3" t="s">
        <v>1</v>
      </c>
      <c r="C48" s="3" t="s">
        <v>2</v>
      </c>
      <c r="D48" s="3" t="s">
        <v>3</v>
      </c>
      <c r="E48" s="3" t="s">
        <v>4</v>
      </c>
      <c r="F48" s="69" t="s">
        <v>95</v>
      </c>
      <c r="H48" s="3" t="s">
        <v>17</v>
      </c>
      <c r="I48" s="3" t="s">
        <v>6</v>
      </c>
      <c r="J48" s="3" t="s">
        <v>16</v>
      </c>
      <c r="K48" s="3" t="s">
        <v>6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</row>
    <row r="49" spans="1:255" s="50" customFormat="1" ht="15">
      <c r="A49" s="50" t="s">
        <v>35</v>
      </c>
      <c r="F49" s="70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</row>
    <row r="50" spans="1:255" s="5" customFormat="1" ht="15">
      <c r="A50" s="4" t="s">
        <v>22</v>
      </c>
      <c r="B50" s="5" t="s">
        <v>105</v>
      </c>
      <c r="C50" s="5" t="s">
        <v>147</v>
      </c>
      <c r="D50" s="5" t="s">
        <v>36</v>
      </c>
      <c r="E50" s="75" t="str">
        <f>0.05*B4&amp;" tot "&amp;0.2*B4&amp;" mg/u"</f>
        <v>0,2 tot 0,8 mg/u</v>
      </c>
      <c r="F50" s="71" t="str">
        <f>ROUND(B4*0.05,2)&amp;" tot "&amp;ROUND(B4*0.2,2)</f>
        <v>0,2 tot 0,8</v>
      </c>
      <c r="G50" s="20" t="s">
        <v>29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</row>
    <row r="51" spans="1:255" s="18" customFormat="1" ht="15">
      <c r="A51" s="56" t="s">
        <v>85</v>
      </c>
      <c r="B51" s="49" t="s">
        <v>195</v>
      </c>
      <c r="C51" s="49" t="s">
        <v>196</v>
      </c>
      <c r="D51" s="49" t="s">
        <v>162</v>
      </c>
      <c r="E51" s="76" t="str">
        <f>0.1*B4*60&amp;" tot "&amp;0.4*B4*60&amp;" microgram/u"</f>
        <v>24 tot 96 microgram/u</v>
      </c>
      <c r="F51" s="65" t="str">
        <f>ROUND(B4*0.001,2)*60&amp;" tot "&amp;ROUND(B4*0.004,2)*60</f>
        <v>0 tot 1,2</v>
      </c>
      <c r="G51" s="43" t="s">
        <v>29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</row>
    <row r="52" spans="1:255" s="5" customFormat="1" ht="15">
      <c r="A52" s="4" t="s">
        <v>37</v>
      </c>
      <c r="B52" s="5" t="s">
        <v>115</v>
      </c>
      <c r="C52" s="5" t="s">
        <v>163</v>
      </c>
      <c r="D52" s="5" t="s">
        <v>164</v>
      </c>
      <c r="E52" s="75" t="str">
        <f>0.1*B4&amp;" tot "&amp;B4&amp;" microgram"</f>
        <v>0,4 tot 4 microgram</v>
      </c>
      <c r="F52" s="71" t="str">
        <f>ROUND(B4*0.01,2)&amp;" tot "&amp;ROUND(B4*0.1,2)</f>
        <v>0,04 tot 0,4</v>
      </c>
      <c r="G52" s="20" t="s">
        <v>7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</row>
    <row r="53" spans="1:255" s="18" customFormat="1" ht="15">
      <c r="A53" s="41" t="s">
        <v>38</v>
      </c>
      <c r="B53" s="49" t="s">
        <v>115</v>
      </c>
      <c r="C53" s="49" t="s">
        <v>163</v>
      </c>
      <c r="D53" s="42" t="s">
        <v>165</v>
      </c>
      <c r="E53" s="76" t="str">
        <f>0.3*B4&amp;" tot "&amp;B4&amp;" microgram/u"</f>
        <v>1,2 tot 4 microgram/u</v>
      </c>
      <c r="F53" s="65" t="str">
        <f>ROUND(B4*0.03,2)&amp;" tot "&amp;ROUND(B4*0.1,2)</f>
        <v>0,12 tot 0,4</v>
      </c>
      <c r="G53" s="43" t="s">
        <v>29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</row>
    <row r="54" spans="5:255" ht="15">
      <c r="E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</row>
    <row r="55" spans="1:255" s="50" customFormat="1" ht="15">
      <c r="A55" s="53" t="s">
        <v>39</v>
      </c>
      <c r="B55" s="53"/>
      <c r="C55" s="53"/>
      <c r="D55" s="53"/>
      <c r="E55" s="64"/>
      <c r="F55" s="54"/>
      <c r="G55" s="53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</row>
    <row r="56" spans="1:255" s="5" customFormat="1" ht="15">
      <c r="A56" s="47" t="s">
        <v>40</v>
      </c>
      <c r="B56" s="44" t="s">
        <v>116</v>
      </c>
      <c r="C56" s="44" t="s">
        <v>227</v>
      </c>
      <c r="D56" s="66" t="s">
        <v>135</v>
      </c>
      <c r="E56" s="83" t="str">
        <f>20*B4&amp;" mg"</f>
        <v>80 mg</v>
      </c>
      <c r="F56" s="73">
        <f>ROUND((B4*20)/5,2)</f>
        <v>16</v>
      </c>
      <c r="G56" s="74" t="s">
        <v>7</v>
      </c>
      <c r="H56" s="21"/>
      <c r="I56" s="21"/>
      <c r="J56" s="25"/>
      <c r="K56" s="24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</row>
    <row r="57" spans="1:255" s="18" customFormat="1" ht="17.25" customHeight="1">
      <c r="A57" s="45"/>
      <c r="B57" s="46"/>
      <c r="C57" s="46" t="s">
        <v>148</v>
      </c>
      <c r="D57" s="88" t="s">
        <v>226</v>
      </c>
      <c r="E57" s="87" t="s">
        <v>231</v>
      </c>
      <c r="F57" s="87"/>
      <c r="G57" s="52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</row>
    <row r="58" spans="1:255" s="5" customFormat="1" ht="15">
      <c r="A58" s="30" t="s">
        <v>41</v>
      </c>
      <c r="B58" s="9" t="s">
        <v>117</v>
      </c>
      <c r="C58" s="9"/>
      <c r="D58" s="9" t="s">
        <v>166</v>
      </c>
      <c r="E58" s="81" t="str">
        <f>100*B4&amp;" microgram"</f>
        <v>400 microgram</v>
      </c>
      <c r="F58" s="70">
        <f>ROUND(MIN((B4)/30,H58),2)</f>
        <v>0.13</v>
      </c>
      <c r="G58" s="84" t="s">
        <v>7</v>
      </c>
      <c r="H58" s="5">
        <v>2</v>
      </c>
      <c r="I58" s="5" t="s">
        <v>7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</row>
    <row r="59" spans="1:255" s="5" customFormat="1" ht="15">
      <c r="A59" s="22"/>
      <c r="B59" s="16"/>
      <c r="C59" s="16"/>
      <c r="D59" s="16" t="s">
        <v>167</v>
      </c>
      <c r="E59" s="79" t="str">
        <f>200*B4&amp;" microgram"</f>
        <v>800 microgram</v>
      </c>
      <c r="F59" s="54">
        <f>ROUND(MIN((B4*2)/30,H59),2)</f>
        <v>0.27</v>
      </c>
      <c r="G59" s="62" t="s">
        <v>7</v>
      </c>
      <c r="H59" s="5">
        <v>4</v>
      </c>
      <c r="I59" s="5" t="s">
        <v>7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</row>
    <row r="60" spans="1:255" s="18" customFormat="1" ht="15">
      <c r="A60" s="41" t="s">
        <v>42</v>
      </c>
      <c r="B60" s="49" t="s">
        <v>98</v>
      </c>
      <c r="C60" s="42"/>
      <c r="D60" s="42" t="s">
        <v>114</v>
      </c>
      <c r="E60" s="76" t="s">
        <v>114</v>
      </c>
      <c r="F60" s="65">
        <v>5</v>
      </c>
      <c r="G60" s="43" t="s">
        <v>7</v>
      </c>
      <c r="H60" s="18">
        <v>5</v>
      </c>
      <c r="I60" s="18" t="s">
        <v>7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</row>
    <row r="61" spans="1:255" s="18" customFormat="1" ht="15">
      <c r="A61" s="28" t="s">
        <v>204</v>
      </c>
      <c r="B61" s="58" t="s">
        <v>205</v>
      </c>
      <c r="C61" s="58"/>
      <c r="D61" s="58" t="s">
        <v>131</v>
      </c>
      <c r="E61" s="80" t="str">
        <f>B4&amp;" mg"</f>
        <v>4 mg</v>
      </c>
      <c r="F61" s="71">
        <f>(B4*2)/50</f>
        <v>0.16</v>
      </c>
      <c r="G61" s="20" t="s">
        <v>7</v>
      </c>
      <c r="I61" s="5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</row>
    <row r="62" spans="1:255" s="18" customFormat="1" ht="15">
      <c r="A62" s="41" t="s">
        <v>43</v>
      </c>
      <c r="B62" s="49" t="s">
        <v>50</v>
      </c>
      <c r="C62" s="42" t="s">
        <v>197</v>
      </c>
      <c r="D62" s="49" t="s">
        <v>136</v>
      </c>
      <c r="E62" s="76" t="str">
        <f>50*B4&amp;" mg"</f>
        <v>200 mg</v>
      </c>
      <c r="F62" s="65">
        <v>2.5</v>
      </c>
      <c r="G62" s="43" t="s">
        <v>7</v>
      </c>
      <c r="H62" s="18">
        <v>25</v>
      </c>
      <c r="I62" s="18" t="s">
        <v>7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</row>
    <row r="63" spans="1:255" s="18" customFormat="1" ht="15">
      <c r="A63" s="30" t="s">
        <v>44</v>
      </c>
      <c r="B63" s="17" t="s">
        <v>118</v>
      </c>
      <c r="C63" s="17" t="s">
        <v>45</v>
      </c>
      <c r="D63" s="17" t="s">
        <v>149</v>
      </c>
      <c r="E63" s="75" t="str">
        <f>0.12*B4&amp;" mmol Ca++"</f>
        <v>0,48 mmol Ca++</v>
      </c>
      <c r="F63" s="71">
        <f>B4*0.2</f>
        <v>0.8</v>
      </c>
      <c r="G63" s="20" t="s">
        <v>7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</row>
    <row r="64" spans="1:255" s="18" customFormat="1" ht="15">
      <c r="A64" s="41" t="s">
        <v>46</v>
      </c>
      <c r="B64" s="49" t="s">
        <v>119</v>
      </c>
      <c r="C64" s="42" t="s">
        <v>45</v>
      </c>
      <c r="D64" s="49" t="s">
        <v>150</v>
      </c>
      <c r="E64" s="76" t="str">
        <f>0.12*B4&amp;" mmol Ca++"</f>
        <v>0,48 mmol Ca++</v>
      </c>
      <c r="F64" s="65">
        <f>B4*0.5</f>
        <v>2</v>
      </c>
      <c r="G64" s="43" t="s">
        <v>7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</row>
    <row r="65" spans="1:255" s="18" customFormat="1" ht="15">
      <c r="A65" s="41"/>
      <c r="B65" s="49"/>
      <c r="C65" s="42" t="s">
        <v>47</v>
      </c>
      <c r="D65" s="49" t="s">
        <v>182</v>
      </c>
      <c r="E65" s="76" t="str">
        <f>0.225*B4&amp;" mmol in 20-30min."</f>
        <v>0,9 mmol in 20-30min.</v>
      </c>
      <c r="F65" s="65">
        <f>B4</f>
        <v>4</v>
      </c>
      <c r="G65" s="43" t="s">
        <v>87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</row>
    <row r="66" spans="1:255" s="5" customFormat="1" ht="15">
      <c r="A66" s="4" t="s">
        <v>48</v>
      </c>
      <c r="B66" s="5" t="s">
        <v>50</v>
      </c>
      <c r="C66" s="5" t="s">
        <v>198</v>
      </c>
      <c r="D66" s="5" t="s">
        <v>136</v>
      </c>
      <c r="E66" s="75" t="str">
        <f>50*B4&amp;" mg"</f>
        <v>200 mg</v>
      </c>
      <c r="F66" s="71">
        <f>MIN(ROUND((B4*50)/100,2),H66)</f>
        <v>2</v>
      </c>
      <c r="G66" s="20" t="s">
        <v>7</v>
      </c>
      <c r="H66" s="5">
        <v>40</v>
      </c>
      <c r="I66" s="5" t="s">
        <v>7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</row>
    <row r="67" spans="1:255" s="18" customFormat="1" ht="15">
      <c r="A67" s="56" t="s">
        <v>49</v>
      </c>
      <c r="B67" s="42" t="s">
        <v>50</v>
      </c>
      <c r="C67" s="42" t="s">
        <v>199</v>
      </c>
      <c r="D67" s="42" t="s">
        <v>200</v>
      </c>
      <c r="E67" s="76" t="str">
        <f>100*B4&amp;" mg in 30min."</f>
        <v>400 mg in 30min.</v>
      </c>
      <c r="F67" s="65">
        <f>ROUND(MIN((B4*100)/25,H67),2)</f>
        <v>16</v>
      </c>
      <c r="G67" s="43" t="s">
        <v>58</v>
      </c>
      <c r="H67" s="18">
        <v>160</v>
      </c>
      <c r="I67" s="18" t="s">
        <v>8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</row>
    <row r="68" spans="1:255" s="5" customFormat="1" ht="15">
      <c r="A68" s="4" t="s">
        <v>86</v>
      </c>
      <c r="D68" s="5" t="s">
        <v>168</v>
      </c>
      <c r="E68" s="75" t="str">
        <f>25*B4&amp;" - "&amp;50*B4&amp;" microgram"</f>
        <v>100 - 200 microgram</v>
      </c>
      <c r="F68" s="71"/>
      <c r="G68" s="20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</row>
    <row r="69" spans="1:255" s="18" customFormat="1" ht="15">
      <c r="A69" s="41" t="s">
        <v>51</v>
      </c>
      <c r="B69" s="49" t="s">
        <v>120</v>
      </c>
      <c r="C69" s="42"/>
      <c r="D69" s="49" t="s">
        <v>137</v>
      </c>
      <c r="E69" s="76" t="str">
        <f>0.15*B4&amp;" mg"</f>
        <v>0,6 mg</v>
      </c>
      <c r="F69" s="65">
        <f>MIN(ROUND((B4*0.15)/5,2),H69)</f>
        <v>0.12</v>
      </c>
      <c r="G69" s="43" t="s">
        <v>7</v>
      </c>
      <c r="H69" s="18">
        <v>2</v>
      </c>
      <c r="I69" s="18" t="s">
        <v>7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</row>
    <row r="70" spans="1:255" s="5" customFormat="1" ht="15">
      <c r="A70" s="4" t="s">
        <v>18</v>
      </c>
      <c r="B70" s="5" t="s">
        <v>101</v>
      </c>
      <c r="C70" s="5" t="s">
        <v>69</v>
      </c>
      <c r="D70" s="5" t="s">
        <v>96</v>
      </c>
      <c r="E70" s="75" t="str">
        <f>B4&amp;" microgram"</f>
        <v>4 microgram</v>
      </c>
      <c r="F70" s="71">
        <f>ROUND((B4*0.001)/0.05,2)</f>
        <v>0.08</v>
      </c>
      <c r="G70" s="20" t="s">
        <v>7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</row>
    <row r="71" spans="1:255" s="18" customFormat="1" ht="15">
      <c r="A71" s="41" t="s">
        <v>52</v>
      </c>
      <c r="B71" s="49" t="s">
        <v>121</v>
      </c>
      <c r="C71" s="42"/>
      <c r="D71" s="42" t="s">
        <v>93</v>
      </c>
      <c r="E71" s="76" t="str">
        <f>10*B4&amp;" microgram"</f>
        <v>40 microgram</v>
      </c>
      <c r="F71" s="65">
        <f>ROUND(MIN((B4*0.01)/0.1,H71),2)</f>
        <v>0.4</v>
      </c>
      <c r="G71" s="43" t="s">
        <v>7</v>
      </c>
      <c r="H71" s="18">
        <v>2</v>
      </c>
      <c r="I71" s="18" t="s">
        <v>7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</row>
    <row r="72" spans="1:255" s="5" customFormat="1" ht="15">
      <c r="A72" s="4" t="s">
        <v>53</v>
      </c>
      <c r="B72" s="5" t="s">
        <v>122</v>
      </c>
      <c r="D72" s="5" t="s">
        <v>138</v>
      </c>
      <c r="E72" s="75" t="str">
        <f>B4&amp;" - "&amp;2*B4&amp;" mg"</f>
        <v>4 - 8 mg</v>
      </c>
      <c r="F72" s="71" t="str">
        <f>MIN(ROUND((B4/10),2),H72)&amp;" - "&amp;MIN(ROUND((B4*2)/10,2),H72)</f>
        <v>0,4 - 0,8</v>
      </c>
      <c r="G72" s="20" t="s">
        <v>7</v>
      </c>
      <c r="H72" s="5">
        <v>4</v>
      </c>
      <c r="I72" s="5" t="s">
        <v>7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</row>
    <row r="73" spans="1:255" s="18" customFormat="1" ht="15">
      <c r="A73" s="41" t="s">
        <v>54</v>
      </c>
      <c r="B73" s="42" t="s">
        <v>123</v>
      </c>
      <c r="C73" s="42" t="s">
        <v>151</v>
      </c>
      <c r="D73" s="42" t="s">
        <v>139</v>
      </c>
      <c r="E73" s="76" t="s">
        <v>139</v>
      </c>
      <c r="F73" s="65">
        <f>IF(B4&lt;25,0.5,1)</f>
        <v>0.5</v>
      </c>
      <c r="G73" s="43" t="s">
        <v>7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</row>
    <row r="74" spans="1:255" s="5" customFormat="1" ht="15">
      <c r="A74" s="4" t="s">
        <v>76</v>
      </c>
      <c r="C74" s="5" t="s">
        <v>220</v>
      </c>
      <c r="D74" s="5" t="s">
        <v>217</v>
      </c>
      <c r="E74" s="75" t="str">
        <f>ROUND(B4*3,2)&amp;" mL"</f>
        <v>12 mL</v>
      </c>
      <c r="F74" s="71">
        <f>ROUND(B4*3,2)</f>
        <v>12</v>
      </c>
      <c r="G74" s="20" t="s">
        <v>7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</row>
    <row r="75" spans="1:255" s="18" customFormat="1" ht="15">
      <c r="A75" s="41" t="s">
        <v>55</v>
      </c>
      <c r="B75" s="49" t="s">
        <v>124</v>
      </c>
      <c r="C75" s="42"/>
      <c r="D75" s="49" t="s">
        <v>140</v>
      </c>
      <c r="E75" s="76" t="str">
        <f>4*B4&amp;" mg"</f>
        <v>16 mg</v>
      </c>
      <c r="F75" s="65">
        <f>ROUND(MIN((B4*4)/50,H75),2)</f>
        <v>0.32</v>
      </c>
      <c r="G75" s="43" t="s">
        <v>7</v>
      </c>
      <c r="H75" s="18">
        <v>2</v>
      </c>
      <c r="I75" s="18" t="s">
        <v>7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</row>
    <row r="76" spans="1:255" s="5" customFormat="1" ht="15">
      <c r="A76" s="30" t="s">
        <v>80</v>
      </c>
      <c r="B76" s="17" t="s">
        <v>125</v>
      </c>
      <c r="C76" s="39" t="s">
        <v>152</v>
      </c>
      <c r="D76" s="17" t="s">
        <v>172</v>
      </c>
      <c r="E76" s="81" t="str">
        <f>0.05*B4&amp;" EH/u"</f>
        <v>0,2 EH/u</v>
      </c>
      <c r="F76" s="71">
        <f>ROUND(B4*0.05,2)</f>
        <v>0.2</v>
      </c>
      <c r="G76" s="20" t="s">
        <v>29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</row>
    <row r="77" spans="1:255" s="18" customFormat="1" ht="15">
      <c r="A77" s="41" t="s">
        <v>23</v>
      </c>
      <c r="B77" s="49" t="s">
        <v>106</v>
      </c>
      <c r="C77" s="42" t="s">
        <v>69</v>
      </c>
      <c r="D77" s="49" t="s">
        <v>141</v>
      </c>
      <c r="E77" s="76" t="str">
        <f>0.25*B4&amp;" tot "&amp;0.5*B4&amp;" mg"</f>
        <v>1 tot 2 mg</v>
      </c>
      <c r="F77" s="65" t="str">
        <f>MIN(ROUND(((B4*0.25)/50),2),H77)&amp;" tot "&amp;MIN(ROUND(((B4*0.5)/50),2),H77)</f>
        <v>0,02 tot 0,04</v>
      </c>
      <c r="G77" s="43" t="s">
        <v>7</v>
      </c>
      <c r="H77" s="18">
        <v>10</v>
      </c>
      <c r="I77" s="18" t="s">
        <v>7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</row>
    <row r="78" spans="1:255" s="5" customFormat="1" ht="15">
      <c r="A78" s="30" t="s">
        <v>78</v>
      </c>
      <c r="B78" s="17" t="s">
        <v>126</v>
      </c>
      <c r="C78" s="39" t="s">
        <v>79</v>
      </c>
      <c r="D78" s="17" t="s">
        <v>153</v>
      </c>
      <c r="E78" s="81" t="str">
        <f>0.5*B4&amp;" mg"</f>
        <v>2 mg</v>
      </c>
      <c r="F78" s="71">
        <f>ROUND(B4*0.05,2)</f>
        <v>0.2</v>
      </c>
      <c r="G78" s="20" t="s">
        <v>7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</row>
    <row r="79" spans="1:255" s="18" customFormat="1" ht="15">
      <c r="A79" s="41" t="s">
        <v>56</v>
      </c>
      <c r="B79" s="49" t="s">
        <v>203</v>
      </c>
      <c r="C79" s="42"/>
      <c r="D79" s="49" t="s">
        <v>184</v>
      </c>
      <c r="E79" s="76" t="str">
        <f>0.5*B4&amp;" g in 15 min."</f>
        <v>2 g in 15 min.</v>
      </c>
      <c r="F79" s="65">
        <f>ROUND(((B4*0.5)/75)*500,1)</f>
        <v>13.3</v>
      </c>
      <c r="G79" s="43" t="s">
        <v>183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</row>
    <row r="80" spans="1:255" s="5" customFormat="1" ht="15">
      <c r="A80" s="30" t="s">
        <v>72</v>
      </c>
      <c r="B80" s="17" t="s">
        <v>127</v>
      </c>
      <c r="C80" s="39" t="s">
        <v>154</v>
      </c>
      <c r="D80" s="17" t="s">
        <v>223</v>
      </c>
      <c r="E80" s="81" t="str">
        <f>1.6*B4&amp;" mg"</f>
        <v>6,4 mg</v>
      </c>
      <c r="F80" s="71">
        <f>ROUND(MIN((B4*1.6)/40,H80),2)</f>
        <v>0.16</v>
      </c>
      <c r="G80" s="20" t="s">
        <v>7</v>
      </c>
      <c r="H80" s="5">
        <v>1.5</v>
      </c>
      <c r="I80" s="5" t="s">
        <v>8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</row>
    <row r="81" spans="1:255" s="18" customFormat="1" ht="15">
      <c r="A81" s="41" t="s">
        <v>70</v>
      </c>
      <c r="B81" s="49" t="s">
        <v>128</v>
      </c>
      <c r="C81" s="42"/>
      <c r="D81" s="49" t="s">
        <v>169</v>
      </c>
      <c r="E81" s="76" t="str">
        <f>100*B4&amp;" microgram"</f>
        <v>400 microgram</v>
      </c>
      <c r="F81" s="65">
        <f>ROUND(MIN((B4*0.1/10),H81),2)</f>
        <v>0.04</v>
      </c>
      <c r="G81" s="43" t="s">
        <v>7</v>
      </c>
      <c r="H81" s="18">
        <v>1</v>
      </c>
      <c r="I81" s="18" t="s">
        <v>7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</row>
    <row r="82" spans="1:255" s="5" customFormat="1" ht="15">
      <c r="A82" s="30" t="s">
        <v>57</v>
      </c>
      <c r="B82" s="17" t="s">
        <v>202</v>
      </c>
      <c r="C82" s="39" t="s">
        <v>155</v>
      </c>
      <c r="D82" s="17" t="s">
        <v>142</v>
      </c>
      <c r="E82" s="81" t="str">
        <f>40*B4&amp;" mg in 20min."</f>
        <v>160 mg in 20min.</v>
      </c>
      <c r="F82" s="71">
        <f>ROUND(MIN((B4*40)/50,H82),2)</f>
        <v>3.2</v>
      </c>
      <c r="G82" s="20" t="s">
        <v>179</v>
      </c>
      <c r="H82" s="5">
        <v>20</v>
      </c>
      <c r="I82" s="5" t="s">
        <v>7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</row>
    <row r="83" spans="1:255" s="5" customFormat="1" ht="15">
      <c r="A83" s="30"/>
      <c r="B83" s="17"/>
      <c r="C83" s="39"/>
      <c r="D83" s="17" t="s">
        <v>185</v>
      </c>
      <c r="E83" s="81" t="str">
        <f>25*B4&amp;" mg in 20min."</f>
        <v>100 mg in 20min.</v>
      </c>
      <c r="F83" s="71">
        <f>ROUND(MIN((B4*25)/50,H82),2)</f>
        <v>2</v>
      </c>
      <c r="G83" s="20" t="s">
        <v>179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</row>
    <row r="84" spans="1:255" s="18" customFormat="1" ht="15">
      <c r="A84" s="41" t="s">
        <v>92</v>
      </c>
      <c r="B84" s="49" t="s">
        <v>201</v>
      </c>
      <c r="C84" s="42"/>
      <c r="D84" s="49" t="s">
        <v>156</v>
      </c>
      <c r="E84" s="76" t="str">
        <f>120*B4&amp;" mg"</f>
        <v>480 mg</v>
      </c>
      <c r="F84" s="65">
        <f>ROUND(B4*0.4,2)</f>
        <v>1.6</v>
      </c>
      <c r="G84" s="43" t="s">
        <v>7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</row>
    <row r="85" spans="1:255" s="29" customFormat="1" ht="15">
      <c r="A85" s="61" t="s">
        <v>71</v>
      </c>
      <c r="B85" s="29" t="s">
        <v>129</v>
      </c>
      <c r="D85" s="29" t="s">
        <v>158</v>
      </c>
      <c r="E85" s="82" t="str">
        <f>10*B4&amp;" microgram"</f>
        <v>40 microgram</v>
      </c>
      <c r="F85" s="54">
        <f>ROUND((B4*0.01)/0.4,2)</f>
        <v>0.1</v>
      </c>
      <c r="G85" s="62" t="s">
        <v>7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</row>
    <row r="86" spans="1:255" s="5" customFormat="1" ht="15">
      <c r="A86" s="56" t="s">
        <v>89</v>
      </c>
      <c r="B86" s="49" t="s">
        <v>130</v>
      </c>
      <c r="C86" s="49" t="s">
        <v>157</v>
      </c>
      <c r="D86" s="49" t="s">
        <v>208</v>
      </c>
      <c r="E86" s="76" t="str">
        <f>12*B4&amp;" microgram in 10 min."</f>
        <v>48 microgram in 10 min.</v>
      </c>
      <c r="F86" s="65">
        <f>ROUND(((B4*0.012)/0.1),2)</f>
        <v>0.48</v>
      </c>
      <c r="G86" s="52" t="s">
        <v>186</v>
      </c>
      <c r="H86" s="21"/>
      <c r="I86" s="21"/>
      <c r="J86" s="25"/>
      <c r="K86" s="24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</row>
    <row r="87" spans="1:255" s="29" customFormat="1" ht="15">
      <c r="A87" s="61" t="s">
        <v>90</v>
      </c>
      <c r="B87" s="29" t="s">
        <v>130</v>
      </c>
      <c r="C87" s="29" t="s">
        <v>157</v>
      </c>
      <c r="D87" s="29" t="s">
        <v>170</v>
      </c>
      <c r="E87" s="82" t="str">
        <f>0.2*60*B4&amp;" tot "&amp;2*60*B4&amp;" microgram/u"</f>
        <v>48 tot 480 microgram/u</v>
      </c>
      <c r="F87" s="54" t="str">
        <f>ROUND((B4*0.0002*60)/0.1,2)&amp;" tot "&amp;ROUND((B4*0.002*60)/0.1,2)</f>
        <v>0,48 tot 4,8</v>
      </c>
      <c r="G87" s="62" t="s">
        <v>29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</row>
    <row r="88" spans="1:255" s="5" customFormat="1" ht="15">
      <c r="A88" s="56" t="s">
        <v>91</v>
      </c>
      <c r="B88" s="49" t="s">
        <v>111</v>
      </c>
      <c r="C88" s="49" t="s">
        <v>187</v>
      </c>
      <c r="D88" s="49" t="s">
        <v>143</v>
      </c>
      <c r="E88" s="76" t="str">
        <f>15*B4&amp;" mg in 10 min."</f>
        <v>60 mg in 10 min.</v>
      </c>
      <c r="F88" s="65">
        <f>MIN(ROUND((B4*15)/100,2),H88)</f>
        <v>0.6</v>
      </c>
      <c r="G88" s="52" t="s">
        <v>186</v>
      </c>
      <c r="H88" s="21">
        <v>10</v>
      </c>
      <c r="I88" s="21" t="s">
        <v>7</v>
      </c>
      <c r="J88" s="25"/>
      <c r="K88" s="24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</row>
    <row r="89" spans="1:255" s="60" customFormat="1" ht="15">
      <c r="A89" s="63" t="s">
        <v>88</v>
      </c>
      <c r="B89" s="29" t="s">
        <v>111</v>
      </c>
      <c r="C89" s="29" t="s">
        <v>187</v>
      </c>
      <c r="D89" s="29" t="s">
        <v>188</v>
      </c>
      <c r="E89" s="82" t="str">
        <f>2*B4&amp;" mg/u gedurende 8u"</f>
        <v>8 mg/u gedurende 8u</v>
      </c>
      <c r="F89" s="71">
        <f>MIN(ROUND((B4*2)/100,2),H89)</f>
        <v>0.08</v>
      </c>
      <c r="G89" s="62" t="s">
        <v>189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</row>
    <row r="90" spans="6:255" ht="15">
      <c r="F90" s="19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</row>
    <row r="91" spans="1:255" ht="15">
      <c r="A91" s="23" t="s">
        <v>207</v>
      </c>
      <c r="F91" s="19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</row>
    <row r="92" spans="1:6" s="7" customFormat="1" ht="15">
      <c r="A92" s="23" t="s">
        <v>75</v>
      </c>
      <c r="B92" s="19"/>
      <c r="C92" s="19"/>
      <c r="D92" s="19"/>
      <c r="E92" s="19"/>
      <c r="F92" s="72"/>
    </row>
    <row r="93" spans="1:6" s="7" customFormat="1" ht="15">
      <c r="A93" s="23" t="s">
        <v>206</v>
      </c>
      <c r="B93" s="19"/>
      <c r="C93" s="19"/>
      <c r="D93" s="19"/>
      <c r="E93" s="19"/>
      <c r="F93" s="72"/>
    </row>
    <row r="94" spans="1:6" s="7" customFormat="1" ht="15">
      <c r="A94" s="7" t="s">
        <v>209</v>
      </c>
      <c r="B94" s="19"/>
      <c r="C94" s="19"/>
      <c r="D94" s="19"/>
      <c r="E94" s="19"/>
      <c r="F94" s="72"/>
    </row>
    <row r="95" spans="1:255" s="8" customFormat="1" ht="15">
      <c r="A95" s="23" t="s">
        <v>221</v>
      </c>
      <c r="B95" s="9"/>
      <c r="C95" s="9"/>
      <c r="D95" s="9"/>
      <c r="E95" s="9"/>
      <c r="F95" s="19"/>
      <c r="G95" s="7"/>
      <c r="H95" s="6"/>
      <c r="I95" s="6"/>
      <c r="J95" s="6"/>
      <c r="K95" s="6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</row>
    <row r="96" spans="1:255" ht="15">
      <c r="A96" s="23" t="s">
        <v>225</v>
      </c>
      <c r="B96" s="9"/>
      <c r="C96" s="9"/>
      <c r="D96" s="9"/>
      <c r="E96" s="9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</row>
    <row r="97" spans="1:255" ht="15">
      <c r="A97" s="23" t="s">
        <v>224</v>
      </c>
      <c r="B97" s="9"/>
      <c r="C97" s="9"/>
      <c r="D97" s="9"/>
      <c r="E97" s="9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</row>
    <row r="98" spans="1:255" ht="15">
      <c r="A98" s="9"/>
      <c r="B98" s="9"/>
      <c r="C98" s="9"/>
      <c r="D98" s="9"/>
      <c r="E98" s="9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</row>
    <row r="99" spans="1:255" ht="15">
      <c r="A99" s="9"/>
      <c r="B99" s="9"/>
      <c r="C99" s="9"/>
      <c r="D99" s="9"/>
      <c r="E99" s="9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</row>
    <row r="100" spans="1:255" ht="15">
      <c r="A100" s="9"/>
      <c r="B100" s="9"/>
      <c r="C100" s="9"/>
      <c r="D100" s="9"/>
      <c r="E100" s="9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</row>
    <row r="101" spans="1:255" ht="15">
      <c r="A101" s="9"/>
      <c r="B101" s="9"/>
      <c r="C101" s="9"/>
      <c r="D101" s="9"/>
      <c r="E101" s="9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</row>
    <row r="102" spans="13:255" ht="15"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</row>
    <row r="103" spans="13:255" ht="15"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</row>
    <row r="104" spans="13:255" ht="15"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</row>
    <row r="105" spans="13:255" ht="15"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</row>
    <row r="106" spans="13:255" ht="15"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</row>
    <row r="107" spans="13:255" ht="15"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</row>
    <row r="108" spans="13:255" ht="15"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</row>
    <row r="109" spans="13:255" ht="15"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</row>
    <row r="110" spans="13:255" ht="15"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</row>
    <row r="111" spans="13:255" ht="15"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</row>
  </sheetData>
  <sheetProtection password="C6C0" sheet="1" selectLockedCells="1"/>
  <dataValidations count="3">
    <dataValidation type="whole" allowBlank="1" showInputMessage="1" showErrorMessage="1" promptTitle="Opgelet!" prompt="Enkel invoeren indien kind jonger is dan 1 jaar.&#10;&#10;bv. Voor kind van 1 jaar en 6 maanden vul 1,5 in bij jaar." errorTitle="Foutieve waarde" error="De waarde voor dit veld moet tussen 0 en 12 zijn&#10;" sqref="B3">
      <formula1>0</formula1>
      <formula2>12</formula2>
    </dataValidation>
    <dataValidation type="decimal" allowBlank="1" showErrorMessage="1" errorTitle="Foute waarde" error="De waarde van dit veld moet tussen 0 en 12 zijn. Voor kinderen ouder dan 12 vul steeds zelf het gewicht in." sqref="B2">
      <formula1>0</formula1>
      <formula2>12</formula2>
    </dataValidation>
    <dataValidation type="decimal" allowBlank="1" showInputMessage="1" showErrorMessage="1" errorTitle="Foutief gewicht" error="Vul een gewicht in tussen 0 en 100 kg" sqref="B1">
      <formula1>0</formula1>
      <formula2>100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Universitair Ziekenhuis Antwerpen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Palinckx;Mattheij</dc:creator>
  <cp:keywords/>
  <dc:description/>
  <cp:lastModifiedBy>Mattheij, Marjolein</cp:lastModifiedBy>
  <cp:lastPrinted>2022-01-25T17:35:46Z</cp:lastPrinted>
  <dcterms:created xsi:type="dcterms:W3CDTF">2015-02-11T10:01:20Z</dcterms:created>
  <dcterms:modified xsi:type="dcterms:W3CDTF">2023-11-28T14:06:24Z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e Links">
    <vt:lpwstr/>
  </property>
  <property fmtid="{D5CDD505-2E9C-101B-9397-08002B2CF9AE}" pid="3" name="Soort">
    <vt:lpwstr/>
  </property>
</Properties>
</file>